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5" yWindow="3015" windowWidth="14415" windowHeight="12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<sst xmlns="http://schemas.openxmlformats.org/spreadsheetml/2006/main" count="102" uniqueCount="82">
  <si>
    <t>Body Station, x, in</t>
  </si>
  <si>
    <t>Body Radius, r, in</t>
  </si>
  <si>
    <t>Body Cross Section Area, in^2</t>
  </si>
  <si>
    <t>Body Segment No.</t>
  </si>
  <si>
    <t>Aerodynamic Reference  Area, in^2</t>
  </si>
  <si>
    <t>Aerodynamic Reference Length, in</t>
  </si>
  <si>
    <r>
      <t>Segment</t>
    </r>
    <r>
      <rPr>
        <sz val="11"/>
        <rFont val="Arial"/>
        <family val="2"/>
      </rPr>
      <t xml:space="preserve"> C</t>
    </r>
    <r>
      <rPr>
        <vertAlign val="subscript"/>
        <sz val="11"/>
        <rFont val="Arial"/>
        <family val="2"/>
      </rPr>
      <t>N</t>
    </r>
    <r>
      <rPr>
        <vertAlign val="subscript"/>
        <sz val="11"/>
        <rFont val="Symbol"/>
        <family val="1"/>
      </rPr>
      <t>a</t>
    </r>
    <r>
      <rPr>
        <sz val="10"/>
        <rFont val="Arial"/>
        <family val="0"/>
      </rPr>
      <t>, per rad</t>
    </r>
  </si>
  <si>
    <t>Segment Volume, in^3</t>
  </si>
  <si>
    <t>Segment Center of Pressure, in</t>
  </si>
  <si>
    <t>Boat Tail Half Angle, deg</t>
  </si>
  <si>
    <t>Flight Mach Number</t>
  </si>
  <si>
    <t>Root Chord, in</t>
  </si>
  <si>
    <t>Tip Chord, in</t>
  </si>
  <si>
    <t>Beta</t>
  </si>
  <si>
    <t>Maximum Exposed Semi-Span, in</t>
  </si>
  <si>
    <t>Aspect Ratio</t>
  </si>
  <si>
    <t>Tip Chord LE Body Station, in</t>
  </si>
  <si>
    <t>Root Chord LE Body Station, in</t>
  </si>
  <si>
    <t>Quarter Chord Sweep Angle, rad</t>
  </si>
  <si>
    <t>Number of Fin Panels</t>
  </si>
  <si>
    <t>tan(half boat tail angle)</t>
  </si>
  <si>
    <t>Body  Radius at One Quarter Root Chord, in</t>
  </si>
  <si>
    <t>Maximum Semispan from Body CL, in</t>
  </si>
  <si>
    <t>Quarter Chord Exposed Semispan, in</t>
  </si>
  <si>
    <r>
      <t>Vehicle C</t>
    </r>
    <r>
      <rPr>
        <vertAlign val="subscript"/>
        <sz val="12"/>
        <rFont val="Arial"/>
        <family val="2"/>
      </rPr>
      <t>N</t>
    </r>
    <r>
      <rPr>
        <vertAlign val="subscript"/>
        <sz val="12"/>
        <rFont val="Symbol"/>
        <family val="1"/>
      </rPr>
      <t>a</t>
    </r>
    <r>
      <rPr>
        <sz val="10"/>
        <rFont val="Arial"/>
        <family val="2"/>
      </rPr>
      <t>, rad</t>
    </r>
    <r>
      <rPr>
        <vertAlign val="superscript"/>
        <sz val="12"/>
        <rFont val="Arial"/>
        <family val="2"/>
      </rPr>
      <t>-1</t>
    </r>
  </si>
  <si>
    <t>Vehicle Center of Pressure, in</t>
  </si>
  <si>
    <t>Theta T, rad</t>
  </si>
  <si>
    <t>R hemis, in</t>
  </si>
  <si>
    <r>
      <t>Single Panel Area, in</t>
    </r>
    <r>
      <rPr>
        <vertAlign val="superscript"/>
        <sz val="10"/>
        <rFont val="Arial"/>
        <family val="2"/>
      </rPr>
      <t>2</t>
    </r>
  </si>
  <si>
    <r>
      <t xml:space="preserve">Second Stage      </t>
    </r>
    <r>
      <rPr>
        <b/>
        <sz val="10"/>
        <rFont val="Times New Roman"/>
        <family val="1"/>
      </rPr>
      <t>→</t>
    </r>
  </si>
  <si>
    <r>
      <t xml:space="preserve">Body of Revolution  </t>
    </r>
    <r>
      <rPr>
        <b/>
        <sz val="10"/>
        <rFont val="Times New Roman"/>
        <family val="1"/>
      </rPr>
      <t>→</t>
    </r>
  </si>
  <si>
    <t>Mean Aerodynamic Chord, in</t>
  </si>
  <si>
    <r>
      <t>Tail + K(W)B  C</t>
    </r>
    <r>
      <rPr>
        <vertAlign val="subscript"/>
        <sz val="12"/>
        <rFont val="Arial"/>
        <family val="2"/>
      </rPr>
      <t>N</t>
    </r>
    <r>
      <rPr>
        <vertAlign val="subscript"/>
        <sz val="12"/>
        <rFont val="Symbol"/>
        <family val="1"/>
      </rPr>
      <t>a</t>
    </r>
    <r>
      <rPr>
        <sz val="10"/>
        <rFont val="Arial"/>
        <family val="0"/>
      </rPr>
      <t>, rad</t>
    </r>
    <r>
      <rPr>
        <vertAlign val="superscript"/>
        <sz val="10"/>
        <rFont val="Arial"/>
        <family val="2"/>
      </rPr>
      <t>-1</t>
    </r>
  </si>
  <si>
    <t>Number of Fin Sets or Stages</t>
  </si>
  <si>
    <t>Trailing Vortex Spanwise Location at Stage 1, in</t>
  </si>
  <si>
    <t>Trailing Vortex Spanwise Location at Stage 2, in</t>
  </si>
  <si>
    <t>Image Vortex Spanwise Location at Stage 1, in</t>
  </si>
  <si>
    <r>
      <t>N(f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)</t>
    </r>
  </si>
  <si>
    <r>
      <t>Tail Assembly C</t>
    </r>
    <r>
      <rPr>
        <vertAlign val="subscript"/>
        <sz val="12"/>
        <rFont val="Arial"/>
        <family val="2"/>
      </rPr>
      <t>N</t>
    </r>
    <r>
      <rPr>
        <vertAlign val="subscript"/>
        <sz val="12"/>
        <rFont val="Symbol"/>
        <family val="1"/>
      </rPr>
      <t>a</t>
    </r>
    <r>
      <rPr>
        <sz val="10"/>
        <rFont val="Arial"/>
        <family val="0"/>
      </rPr>
      <t>, rad</t>
    </r>
    <r>
      <rPr>
        <vertAlign val="superscript"/>
        <sz val="12"/>
        <rFont val="Arial"/>
        <family val="2"/>
      </rPr>
      <t>-1</t>
    </r>
  </si>
  <si>
    <r>
      <t>Single Panel C</t>
    </r>
    <r>
      <rPr>
        <vertAlign val="subscript"/>
        <sz val="12"/>
        <rFont val="Arial"/>
        <family val="2"/>
      </rPr>
      <t>N</t>
    </r>
    <r>
      <rPr>
        <vertAlign val="subscript"/>
        <sz val="12"/>
        <rFont val="Symbol"/>
        <family val="1"/>
      </rPr>
      <t>d</t>
    </r>
    <r>
      <rPr>
        <sz val="10"/>
        <rFont val="Arial"/>
        <family val="0"/>
      </rPr>
      <t>, rad</t>
    </r>
    <r>
      <rPr>
        <vertAlign val="superscript"/>
        <sz val="12"/>
        <rFont val="Arial"/>
        <family val="2"/>
      </rPr>
      <t>-1</t>
    </r>
  </si>
  <si>
    <r>
      <t>ΔN(f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)</t>
    </r>
  </si>
  <si>
    <r>
      <t>N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>(g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)</t>
    </r>
  </si>
  <si>
    <r>
      <t>ΔN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>(g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))</t>
    </r>
  </si>
  <si>
    <r>
      <t>c</t>
    </r>
    <r>
      <rPr>
        <vertAlign val="subscript"/>
        <sz val="10"/>
        <rFont val="Arial"/>
        <family val="2"/>
      </rPr>
      <t>R1</t>
    </r>
    <r>
      <rPr>
        <sz val="10"/>
        <rFont val="Arial"/>
        <family val="0"/>
      </rPr>
      <t>-c</t>
    </r>
    <r>
      <rPr>
        <vertAlign val="subscript"/>
        <sz val="10"/>
        <rFont val="Arial"/>
        <family val="2"/>
      </rPr>
      <t xml:space="preserve">T1,   </t>
    </r>
    <r>
      <rPr>
        <sz val="10"/>
        <rFont val="Arial"/>
        <family val="2"/>
      </rPr>
      <t xml:space="preserve"> in</t>
    </r>
  </si>
  <si>
    <r>
      <t>c</t>
    </r>
    <r>
      <rPr>
        <vertAlign val="subscript"/>
        <sz val="10"/>
        <rFont val="Arial"/>
        <family val="2"/>
      </rPr>
      <t>R1</t>
    </r>
    <r>
      <rPr>
        <sz val="10"/>
        <rFont val="Arial"/>
        <family val="0"/>
      </rPr>
      <t>b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-c</t>
    </r>
    <r>
      <rPr>
        <vertAlign val="subscript"/>
        <sz val="10"/>
        <rFont val="Arial"/>
        <family val="2"/>
      </rPr>
      <t>T1</t>
    </r>
    <r>
      <rPr>
        <sz val="10"/>
        <rFont val="Arial"/>
        <family val="0"/>
      </rPr>
      <t>R</t>
    </r>
    <r>
      <rPr>
        <vertAlign val="subscript"/>
        <sz val="10"/>
        <rFont val="Arial"/>
        <family val="2"/>
      </rPr>
      <t xml:space="preserve">1,   </t>
    </r>
    <r>
      <rPr>
        <sz val="10"/>
        <rFont val="Arial"/>
        <family val="2"/>
      </rPr>
      <t xml:space="preserve"> in</t>
    </r>
    <r>
      <rPr>
        <vertAlign val="superscript"/>
        <sz val="10"/>
        <rFont val="Arial"/>
        <family val="2"/>
      </rPr>
      <t>2</t>
    </r>
  </si>
  <si>
    <t>Vortex Iinterference Multiplier</t>
  </si>
  <si>
    <r>
      <t>First Stage Fins Vortex Interference C</t>
    </r>
    <r>
      <rPr>
        <vertAlign val="subscript"/>
        <sz val="10"/>
        <rFont val="Arial"/>
        <family val="2"/>
      </rPr>
      <t>N</t>
    </r>
    <r>
      <rPr>
        <vertAlign val="subscript"/>
        <sz val="10"/>
        <rFont val="Symbol"/>
        <family val="1"/>
      </rPr>
      <t>a</t>
    </r>
  </si>
  <si>
    <r>
      <t>First Stage Body Vortex Interference C</t>
    </r>
    <r>
      <rPr>
        <vertAlign val="subscript"/>
        <sz val="10"/>
        <rFont val="Arial"/>
        <family val="2"/>
      </rPr>
      <t>N</t>
    </r>
    <r>
      <rPr>
        <vertAlign val="subscript"/>
        <sz val="10"/>
        <rFont val="Symbol"/>
        <family val="1"/>
      </rPr>
      <t>a</t>
    </r>
    <r>
      <rPr>
        <sz val="10"/>
        <rFont val="Arial"/>
        <family val="0"/>
      </rPr>
      <t>, rad</t>
    </r>
    <r>
      <rPr>
        <vertAlign val="superscript"/>
        <sz val="10"/>
        <rFont val="Arial"/>
        <family val="2"/>
      </rPr>
      <t>-1</t>
    </r>
  </si>
  <si>
    <t>Color Code</t>
  </si>
  <si>
    <t>Input Data</t>
  </si>
  <si>
    <t>Output Data</t>
  </si>
  <si>
    <t>GOLD RUSH III Ignition Stability</t>
  </si>
  <si>
    <t>Compressible Plan-form Parameter</t>
  </si>
  <si>
    <r>
      <t>Wing Alone C</t>
    </r>
    <r>
      <rPr>
        <vertAlign val="subscript"/>
        <sz val="12"/>
        <rFont val="Arial"/>
        <family val="2"/>
      </rPr>
      <t>N</t>
    </r>
    <r>
      <rPr>
        <vertAlign val="subscript"/>
        <sz val="12"/>
        <rFont val="Symbol"/>
        <family val="1"/>
      </rPr>
      <t>a</t>
    </r>
    <r>
      <rPr>
        <vertAlign val="subscript"/>
        <sz val="12"/>
        <rFont val="Arial"/>
        <family val="2"/>
      </rPr>
      <t xml:space="preserve"> </t>
    </r>
    <r>
      <rPr>
        <sz val="10"/>
        <rFont val="Arial"/>
        <family val="2"/>
      </rPr>
      <t>(based on Swing)</t>
    </r>
    <r>
      <rPr>
        <sz val="10"/>
        <rFont val="Arial"/>
        <family val="0"/>
      </rPr>
      <t>, rad</t>
    </r>
    <r>
      <rPr>
        <vertAlign val="superscript"/>
        <sz val="12"/>
        <rFont val="Arial"/>
        <family val="2"/>
      </rPr>
      <t>-1</t>
    </r>
  </si>
  <si>
    <r>
      <t>Fins + K</t>
    </r>
    <r>
      <rPr>
        <vertAlign val="subscript"/>
        <sz val="12"/>
        <rFont val="Arial"/>
        <family val="2"/>
      </rPr>
      <t>(W)B</t>
    </r>
    <r>
      <rPr>
        <sz val="10"/>
        <rFont val="Arial"/>
        <family val="0"/>
      </rPr>
      <t xml:space="preserve">  C</t>
    </r>
    <r>
      <rPr>
        <vertAlign val="subscript"/>
        <sz val="12"/>
        <rFont val="Arial"/>
        <family val="2"/>
      </rPr>
      <t>N</t>
    </r>
    <r>
      <rPr>
        <vertAlign val="subscript"/>
        <sz val="12"/>
        <rFont val="Symbol"/>
        <family val="1"/>
      </rPr>
      <t>a</t>
    </r>
    <r>
      <rPr>
        <sz val="10"/>
        <rFont val="Arial"/>
        <family val="0"/>
      </rPr>
      <t>, rad</t>
    </r>
    <r>
      <rPr>
        <vertAlign val="superscript"/>
        <sz val="12"/>
        <rFont val="Arial"/>
        <family val="2"/>
      </rPr>
      <t>-1</t>
    </r>
  </si>
  <si>
    <r>
      <t>Body-Fin Lift Interference, K</t>
    </r>
    <r>
      <rPr>
        <vertAlign val="subscript"/>
        <sz val="12"/>
        <rFont val="Arial"/>
        <family val="2"/>
      </rPr>
      <t>W(B)</t>
    </r>
    <r>
      <rPr>
        <sz val="12"/>
        <rFont val="Arial"/>
        <family val="2"/>
      </rPr>
      <t>,</t>
    </r>
    <r>
      <rPr>
        <sz val="10"/>
        <rFont val="Arial"/>
        <family val="2"/>
      </rPr>
      <t xml:space="preserve"> Eq.(14)</t>
    </r>
    <r>
      <rPr>
        <vertAlign val="subscript"/>
        <sz val="12"/>
        <rFont val="Arial"/>
        <family val="2"/>
      </rPr>
      <t xml:space="preserve"> </t>
    </r>
  </si>
  <si>
    <r>
      <t>Body-Tail Lift Interference, K</t>
    </r>
    <r>
      <rPr>
        <vertAlign val="subscript"/>
        <sz val="12"/>
        <rFont val="Arial"/>
        <family val="2"/>
      </rPr>
      <t>W(B)</t>
    </r>
    <r>
      <rPr>
        <sz val="10"/>
        <rFont val="Arial"/>
        <family val="2"/>
      </rPr>
      <t>,       Eq. (14)</t>
    </r>
  </si>
  <si>
    <r>
      <t>Body-Fin Lift Interference, k</t>
    </r>
    <r>
      <rPr>
        <vertAlign val="subscript"/>
        <sz val="10"/>
        <rFont val="Arial"/>
        <family val="2"/>
      </rPr>
      <t>W(B)</t>
    </r>
    <r>
      <rPr>
        <sz val="10"/>
        <rFont val="Arial"/>
        <family val="2"/>
      </rPr>
      <t>,         Eq. (19)</t>
    </r>
  </si>
  <si>
    <r>
      <t>Fin-Body Lift Interference, k</t>
    </r>
    <r>
      <rPr>
        <vertAlign val="subscript"/>
        <sz val="12"/>
        <rFont val="Arial"/>
        <family val="2"/>
      </rPr>
      <t>W(B)</t>
    </r>
    <r>
      <rPr>
        <sz val="10"/>
        <rFont val="Arial"/>
        <family val="2"/>
      </rPr>
      <t>,         Eq. (19)</t>
    </r>
  </si>
  <si>
    <r>
      <t>Fin-Body Lift Interference, K</t>
    </r>
    <r>
      <rPr>
        <vertAlign val="subscript"/>
        <sz val="12"/>
        <rFont val="Arial"/>
        <family val="2"/>
      </rPr>
      <t>B(W)</t>
    </r>
    <r>
      <rPr>
        <sz val="10"/>
        <rFont val="Arial"/>
        <family val="2"/>
      </rPr>
      <t>,       Eq. (21)</t>
    </r>
  </si>
  <si>
    <r>
      <t>Fin-Body Lift Interference, K</t>
    </r>
    <r>
      <rPr>
        <vertAlign val="subscript"/>
        <sz val="12"/>
        <rFont val="Arial"/>
        <family val="2"/>
      </rPr>
      <t>B(W</t>
    </r>
    <r>
      <rPr>
        <sz val="10"/>
        <rFont val="Arial"/>
        <family val="0"/>
      </rPr>
      <t>),          Eq. (21)</t>
    </r>
  </si>
  <si>
    <r>
      <t>Fin-Body Lift Interference, k</t>
    </r>
    <r>
      <rPr>
        <vertAlign val="subscript"/>
        <sz val="12"/>
        <rFont val="Arial"/>
        <family val="2"/>
      </rPr>
      <t>B(W)</t>
    </r>
    <r>
      <rPr>
        <sz val="10"/>
        <rFont val="Arial"/>
        <family val="0"/>
      </rPr>
      <t>,        Eq. (33)</t>
    </r>
  </si>
  <si>
    <r>
      <t xml:space="preserve">Fin </t>
    </r>
    <r>
      <rPr>
        <sz val="10"/>
        <rFont val="Arial"/>
        <family val="2"/>
      </rPr>
      <t xml:space="preserve">α </t>
    </r>
    <r>
      <rPr>
        <sz val="10"/>
        <rFont val="Arial"/>
        <family val="0"/>
      </rPr>
      <t>Center of Pressure, in</t>
    </r>
  </si>
  <si>
    <r>
      <t xml:space="preserve">B(W) </t>
    </r>
    <r>
      <rPr>
        <sz val="10"/>
        <rFont val="Arial"/>
        <family val="2"/>
      </rPr>
      <t>α</t>
    </r>
    <r>
      <rPr>
        <sz val="10"/>
        <rFont val="Arial"/>
        <family val="2"/>
      </rPr>
      <t xml:space="preserve"> </t>
    </r>
    <r>
      <rPr>
        <sz val="10"/>
        <rFont val="Arial"/>
        <family val="0"/>
      </rPr>
      <t>Center of Pressure Station, in, Eq. (D6)</t>
    </r>
  </si>
  <si>
    <r>
      <t>Wing Alone C</t>
    </r>
    <r>
      <rPr>
        <vertAlign val="subscript"/>
        <sz val="12"/>
        <rFont val="Arial"/>
        <family val="2"/>
      </rPr>
      <t>N</t>
    </r>
    <r>
      <rPr>
        <vertAlign val="subscript"/>
        <sz val="12"/>
        <rFont val="Symbol"/>
        <family val="1"/>
      </rPr>
      <t>a</t>
    </r>
    <r>
      <rPr>
        <sz val="10"/>
        <rFont val="Arial"/>
        <family val="0"/>
      </rPr>
      <t xml:space="preserve"> (based on Swing), rad</t>
    </r>
    <r>
      <rPr>
        <vertAlign val="superscript"/>
        <sz val="10"/>
        <rFont val="Arial"/>
        <family val="2"/>
      </rPr>
      <t>-1</t>
    </r>
  </si>
  <si>
    <t>dε/dα</t>
  </si>
  <si>
    <t>s-r</t>
  </si>
  <si>
    <r>
      <t>Trailing Vortex Strength,  (1/U)    d</t>
    </r>
    <r>
      <rPr>
        <sz val="10"/>
        <rFont val="Arial"/>
        <family val="2"/>
      </rPr>
      <t>Γ</t>
    </r>
    <r>
      <rPr>
        <sz val="10"/>
        <rFont val="Arial"/>
        <family val="0"/>
      </rPr>
      <t>/d</t>
    </r>
    <r>
      <rPr>
        <sz val="10"/>
        <rFont val="Symbol"/>
        <family val="1"/>
      </rPr>
      <t>a</t>
    </r>
    <r>
      <rPr>
        <sz val="10"/>
        <rFont val="Arial"/>
        <family val="0"/>
      </rPr>
      <t>, in</t>
    </r>
  </si>
  <si>
    <r>
      <t xml:space="preserve">First      Stage     </t>
    </r>
    <r>
      <rPr>
        <b/>
        <sz val="10"/>
        <rFont val="Times New Roman"/>
        <family val="1"/>
      </rPr>
      <t>→</t>
    </r>
  </si>
  <si>
    <r>
      <t>Total Tail Assembly C</t>
    </r>
    <r>
      <rPr>
        <vertAlign val="subscript"/>
        <sz val="10"/>
        <rFont val="Arial"/>
        <family val="2"/>
      </rPr>
      <t>Nα</t>
    </r>
    <r>
      <rPr>
        <sz val="10"/>
        <rFont val="Arial"/>
        <family val="2"/>
      </rPr>
      <t xml:space="preserve"> with Vortex Interference , rad</t>
    </r>
    <r>
      <rPr>
        <vertAlign val="superscript"/>
        <sz val="10"/>
        <rFont val="Arial"/>
        <family val="2"/>
      </rPr>
      <t>-1</t>
    </r>
  </si>
  <si>
    <r>
      <t>Naked (single panel) Fin  Ass'y C</t>
    </r>
    <r>
      <rPr>
        <vertAlign val="subscript"/>
        <sz val="12"/>
        <rFont val="Arial"/>
        <family val="2"/>
      </rPr>
      <t>N</t>
    </r>
    <r>
      <rPr>
        <vertAlign val="subscript"/>
        <sz val="12"/>
        <rFont val="Symbol"/>
        <family val="1"/>
      </rPr>
      <t xml:space="preserve">a </t>
    </r>
    <r>
      <rPr>
        <sz val="10"/>
        <rFont val="Arial"/>
        <family val="2"/>
      </rPr>
      <t>(based on Sref), rad</t>
    </r>
    <r>
      <rPr>
        <vertAlign val="superscript"/>
        <sz val="10"/>
        <rFont val="Arial"/>
        <family val="2"/>
      </rPr>
      <t>-1</t>
    </r>
  </si>
  <si>
    <r>
      <t>Naked (single panel) Fin  Ass'y CNa (based on Sref), rad</t>
    </r>
    <r>
      <rPr>
        <vertAlign val="superscript"/>
        <sz val="10"/>
        <rFont val="Arial"/>
        <family val="2"/>
      </rPr>
      <t>-1</t>
    </r>
  </si>
  <si>
    <r>
      <t xml:space="preserve">Tail Assembly </t>
    </r>
    <r>
      <rPr>
        <sz val="10"/>
        <rFont val="Symbol"/>
        <family val="1"/>
      </rPr>
      <t>a</t>
    </r>
    <r>
      <rPr>
        <sz val="10"/>
        <rFont val="Arial"/>
        <family val="2"/>
      </rPr>
      <t xml:space="preserve"> and</t>
    </r>
    <r>
      <rPr>
        <sz val="10"/>
        <rFont val="Symbol"/>
        <family val="1"/>
      </rPr>
      <t xml:space="preserve"> d</t>
    </r>
    <r>
      <rPr>
        <sz val="10"/>
        <rFont val="Arial"/>
        <family val="0"/>
      </rPr>
      <t xml:space="preserve"> Center of Pressure, in</t>
    </r>
  </si>
  <si>
    <r>
      <t xml:space="preserve">Tail Assembly </t>
    </r>
    <r>
      <rPr>
        <sz val="10"/>
        <rFont val="Symbol"/>
        <family val="1"/>
      </rPr>
      <t>a</t>
    </r>
    <r>
      <rPr>
        <sz val="10"/>
        <rFont val="Arial"/>
        <family val="0"/>
      </rPr>
      <t xml:space="preserve"> and </t>
    </r>
    <r>
      <rPr>
        <sz val="10"/>
        <rFont val="Symbol"/>
        <family val="1"/>
      </rPr>
      <t>d</t>
    </r>
    <r>
      <rPr>
        <sz val="10"/>
        <rFont val="Arial"/>
        <family val="0"/>
      </rPr>
      <t xml:space="preserve"> Center of Pressure, in</t>
    </r>
  </si>
  <si>
    <t>If more points are needed to define the body profile insert more rows between rows 10 and 15</t>
  </si>
  <si>
    <t>If fewer points are needed to define the body profile delete rows between 10 anr 15</t>
  </si>
  <si>
    <t>Body station input to cell H15 is leading edge of the boattail.</t>
  </si>
  <si>
    <r>
      <t xml:space="preserve">For Segment zero, if r &gt; 0 then Hemispherical Cap  or Flat Face is applied     </t>
    </r>
    <r>
      <rPr>
        <b/>
        <sz val="12"/>
        <color indexed="8"/>
        <rFont val="Arial"/>
        <family val="2"/>
      </rPr>
      <t>↓</t>
    </r>
  </si>
  <si>
    <t>Flat Faced Nose?</t>
  </si>
  <si>
    <r>
      <t>Flat Face C</t>
    </r>
    <r>
      <rPr>
        <sz val="9"/>
        <rFont val="Arial"/>
        <family val="2"/>
      </rPr>
      <t>m</t>
    </r>
    <r>
      <rPr>
        <sz val="9"/>
        <rFont val="Calibri"/>
        <family val="2"/>
      </rPr>
      <t>α</t>
    </r>
  </si>
  <si>
    <r>
      <t xml:space="preserve"> Vehicle Cm</t>
    </r>
    <r>
      <rPr>
        <sz val="10"/>
        <rFont val="Calibri"/>
        <family val="2"/>
      </rPr>
      <t xml:space="preserve">α, </t>
    </r>
    <r>
      <rPr>
        <sz val="10"/>
        <rFont val="Arial"/>
        <family val="2"/>
      </rPr>
      <t>per radian</t>
    </r>
  </si>
  <si>
    <t>If the body radius at the most forwqard body station is greater than 0, either a tangent hemisphere or a blunt flat face is assumed as controlled by cell J6.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</si>
</sst>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56">
    <font>
      <sz val="10"/>
      <name val="Arial"/>
      <family val="0"/>
    </font>
    <font>
      <sz val="11"/>
      <name val="Arial"/>
      <family val="2"/>
    </font>
    <font>
      <vertAlign val="subscript"/>
      <sz val="11"/>
      <name val="Arial"/>
      <family val="2"/>
    </font>
    <font>
      <vertAlign val="subscript"/>
      <sz val="11"/>
      <name val="Symbol"/>
      <family val="1"/>
    </font>
    <font>
      <vertAlign val="subscript"/>
      <sz val="12"/>
      <name val="Arial"/>
      <family val="2"/>
    </font>
    <font>
      <vertAlign val="subscript"/>
      <sz val="12"/>
      <name val="Symbol"/>
      <family val="1"/>
    </font>
    <font>
      <vertAlign val="superscript"/>
      <sz val="12"/>
      <name val="Arial"/>
      <family val="2"/>
    </font>
    <font>
      <b/>
      <u val="single"/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vertAlign val="subscript"/>
      <sz val="10"/>
      <name val="Arial"/>
      <family val="2"/>
    </font>
    <font>
      <vertAlign val="subscript"/>
      <sz val="10"/>
      <name val="Symbol"/>
      <family val="1"/>
    </font>
    <font>
      <sz val="12"/>
      <name val="Arial"/>
      <family val="2"/>
    </font>
    <font>
      <sz val="10"/>
      <name val="Symbol"/>
      <family val="1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0" fillId="31" borderId="7" applyNumberFormat="0" applyFont="0" applyAlignment="0" applyProtection="0"/>
    <xf numFmtId="0" fontId="52" fillId="26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0" fillId="32" borderId="10" xfId="0" applyFill="1" applyBorder="1" applyAlignment="1">
      <alignment/>
    </xf>
    <xf numFmtId="0" fontId="0" fillId="33" borderId="10" xfId="0" applyFill="1" applyBorder="1" applyAlignment="1">
      <alignment/>
    </xf>
    <xf numFmtId="0" fontId="7" fillId="0" borderId="0" xfId="0" applyFont="1" applyAlignment="1">
      <alignment/>
    </xf>
    <xf numFmtId="0" fontId="9" fillId="34" borderId="0" xfId="0" applyFont="1" applyFill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9" fillId="34" borderId="10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/>
    </xf>
    <xf numFmtId="0" fontId="9" fillId="34" borderId="12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35" borderId="14" xfId="0" applyFill="1" applyBorder="1" applyAlignment="1">
      <alignment vertical="center"/>
    </xf>
    <xf numFmtId="0" fontId="0" fillId="35" borderId="13" xfId="0" applyFont="1" applyFill="1" applyBorder="1" applyAlignment="1">
      <alignment horizontal="center" vertical="center" wrapText="1"/>
    </xf>
    <xf numFmtId="0" fontId="0" fillId="35" borderId="13" xfId="0" applyFill="1" applyBorder="1" applyAlignment="1">
      <alignment/>
    </xf>
    <xf numFmtId="0" fontId="0" fillId="0" borderId="14" xfId="0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0" xfId="0" applyAlignment="1">
      <alignment horizontal="center"/>
    </xf>
    <xf numFmtId="0" fontId="0" fillId="36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0" fillId="0" borderId="14" xfId="0" applyFont="1" applyFill="1" applyBorder="1" applyAlignment="1">
      <alignment horizontal="center" vertical="center" wrapText="1"/>
    </xf>
    <xf numFmtId="0" fontId="0" fillId="36" borderId="16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 wrapText="1"/>
    </xf>
    <xf numFmtId="0" fontId="0" fillId="37" borderId="10" xfId="0" applyFill="1" applyBorder="1" applyAlignment="1">
      <alignment vertical="center" wrapText="1"/>
    </xf>
    <xf numFmtId="0" fontId="0" fillId="35" borderId="1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38" borderId="0" xfId="0" applyFill="1" applyAlignment="1">
      <alignment/>
    </xf>
    <xf numFmtId="0" fontId="0" fillId="37" borderId="10" xfId="0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30</xdr:row>
      <xdr:rowOff>28575</xdr:rowOff>
    </xdr:from>
    <xdr:to>
      <xdr:col>23</xdr:col>
      <xdr:colOff>219075</xdr:colOff>
      <xdr:row>42</xdr:row>
      <xdr:rowOff>123825</xdr:rowOff>
    </xdr:to>
    <xdr:grpSp>
      <xdr:nvGrpSpPr>
        <xdr:cNvPr id="1" name="Group 14"/>
        <xdr:cNvGrpSpPr>
          <a:grpSpLocks/>
        </xdr:cNvGrpSpPr>
      </xdr:nvGrpSpPr>
      <xdr:grpSpPr>
        <a:xfrm>
          <a:off x="14268450" y="9667875"/>
          <a:ext cx="5429250" cy="2038350"/>
          <a:chOff x="10544175" y="1743075"/>
          <a:chExt cx="5429250" cy="2038350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10544175" y="1743075"/>
            <a:ext cx="5429250" cy="2038350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fpr</a:t>
            </a:r>
          </a:p>
        </xdr:txBody>
      </xdr:sp>
      <xdr:grpSp>
        <xdr:nvGrpSpPr>
          <xdr:cNvPr id="3" name="Group 10"/>
          <xdr:cNvGrpSpPr>
            <a:grpSpLocks/>
          </xdr:cNvGrpSpPr>
        </xdr:nvGrpSpPr>
        <xdr:grpSpPr>
          <a:xfrm>
            <a:off x="10963585" y="2447835"/>
            <a:ext cx="4715304" cy="828589"/>
            <a:chOff x="11048999" y="3752850"/>
            <a:chExt cx="4714877" cy="828675"/>
          </a:xfrm>
          <a:solidFill>
            <a:srgbClr val="FFFFFF"/>
          </a:solidFill>
        </xdr:grpSpPr>
        <xdr:grpSp>
          <xdr:nvGrpSpPr>
            <xdr:cNvPr id="4" name="Group 6"/>
            <xdr:cNvGrpSpPr>
              <a:grpSpLocks/>
            </xdr:cNvGrpSpPr>
          </xdr:nvGrpSpPr>
          <xdr:grpSpPr>
            <a:xfrm>
              <a:off x="11048999" y="4029006"/>
              <a:ext cx="4334151" cy="238037"/>
              <a:chOff x="10972800" y="2438400"/>
              <a:chExt cx="4095750" cy="238125"/>
            </a:xfrm>
            <a:solidFill>
              <a:srgbClr val="FFFFFF"/>
            </a:solidFill>
          </xdr:grpSpPr>
          <xdr:sp>
            <xdr:nvSpPr>
              <xdr:cNvPr id="5" name="Flowchart: Decision 4"/>
              <xdr:cNvSpPr>
                <a:spLocks/>
              </xdr:cNvSpPr>
            </xdr:nvSpPr>
            <xdr:spPr>
              <a:xfrm>
                <a:off x="10972800" y="2457450"/>
                <a:ext cx="1827728" cy="209550"/>
              </a:xfrm>
              <a:prstGeom prst="flowChartDecision">
                <a:avLst/>
              </a:prstGeom>
              <a:solidFill>
                <a:srgbClr val="4F81BD"/>
              </a:solidFill>
              <a:ln w="25400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" name="Rectangle 5"/>
              <xdr:cNvSpPr>
                <a:spLocks/>
              </xdr:cNvSpPr>
            </xdr:nvSpPr>
            <xdr:spPr>
              <a:xfrm>
                <a:off x="11891272" y="2457450"/>
                <a:ext cx="3177278" cy="219075"/>
              </a:xfrm>
              <a:prstGeom prst="rect">
                <a:avLst/>
              </a:prstGeom>
              <a:solidFill>
                <a:srgbClr val="4F81BD"/>
              </a:solidFill>
              <a:ln w="25400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7" name="Pentagon 8"/>
            <xdr:cNvSpPr>
              <a:spLocks/>
            </xdr:cNvSpPr>
          </xdr:nvSpPr>
          <xdr:spPr>
            <a:xfrm flipH="1">
              <a:off x="15268814" y="3752850"/>
              <a:ext cx="495062" cy="828675"/>
            </a:xfrm>
            <a:prstGeom prst="homePlate">
              <a:avLst>
                <a:gd name="adj" fmla="val 0"/>
              </a:avLst>
            </a:prstGeom>
            <a:solidFill>
              <a:srgbClr val="4F81BD"/>
            </a:solidFill>
            <a:ln w="25400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Pentagon 9"/>
            <xdr:cNvSpPr>
              <a:spLocks/>
            </xdr:cNvSpPr>
          </xdr:nvSpPr>
          <xdr:spPr>
            <a:xfrm flipH="1">
              <a:off x="13686973" y="3752850"/>
              <a:ext cx="495062" cy="828675"/>
            </a:xfrm>
            <a:prstGeom prst="homePlate">
              <a:avLst>
                <a:gd name="adj" fmla="val 0"/>
              </a:avLst>
            </a:prstGeom>
            <a:solidFill>
              <a:srgbClr val="4F81BD"/>
            </a:solidFill>
            <a:ln w="25400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9" name="Group 14"/>
          <xdr:cNvGrpSpPr>
            <a:grpSpLocks/>
          </xdr:cNvGrpSpPr>
        </xdr:nvGrpSpPr>
        <xdr:grpSpPr>
          <a:xfrm>
            <a:off x="13315807" y="3330440"/>
            <a:ext cx="2458093" cy="306772"/>
            <a:chOff x="13315950" y="3330562"/>
            <a:chExt cx="2457772" cy="306800"/>
          </a:xfrm>
          <a:solidFill>
            <a:srgbClr val="FFFFFF"/>
          </a:solidFill>
        </xdr:grpSpPr>
        <xdr:sp>
          <xdr:nvSpPr>
            <xdr:cNvPr id="10" name="TextBox 11"/>
            <xdr:cNvSpPr txBox="1">
              <a:spLocks noChangeArrowheads="1"/>
            </xdr:cNvSpPr>
          </xdr:nvSpPr>
          <xdr:spPr>
            <a:xfrm>
              <a:off x="13315950" y="3330562"/>
              <a:ext cx="838100" cy="27826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2nd Stage</a:t>
              </a:r>
            </a:p>
          </xdr:txBody>
        </xdr:sp>
        <xdr:sp>
          <xdr:nvSpPr>
            <xdr:cNvPr id="11" name="TextBox 12"/>
            <xdr:cNvSpPr txBox="1">
              <a:spLocks noChangeArrowheads="1"/>
            </xdr:cNvSpPr>
          </xdr:nvSpPr>
          <xdr:spPr>
            <a:xfrm>
              <a:off x="14982934" y="3361319"/>
              <a:ext cx="790788" cy="27604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1st Stage</a:t>
              </a:r>
            </a:p>
          </xdr:txBody>
        </xdr:sp>
      </xdr:grpSp>
      <xdr:sp>
        <xdr:nvSpPr>
          <xdr:cNvPr id="12" name="TextBox 13"/>
          <xdr:cNvSpPr txBox="1">
            <a:spLocks noChangeArrowheads="1"/>
          </xdr:cNvSpPr>
        </xdr:nvSpPr>
        <xdr:spPr>
          <a:xfrm>
            <a:off x="11620524" y="1885760"/>
            <a:ext cx="3276552" cy="40970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2 Stage Rocket Nomenclature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T32"/>
  <sheetViews>
    <sheetView tabSelected="1" zoomScale="120" zoomScaleNormal="120" zoomScalePageLayoutView="0" workbookViewId="0" topLeftCell="A1">
      <selection activeCell="E12" sqref="E12"/>
    </sheetView>
  </sheetViews>
  <sheetFormatPr defaultColWidth="9.140625" defaultRowHeight="12.75"/>
  <cols>
    <col min="1" max="1" width="11.57421875" style="0" customWidth="1"/>
    <col min="2" max="2" width="10.57421875" style="0" customWidth="1"/>
    <col min="4" max="4" width="19.00390625" style="0" customWidth="1"/>
    <col min="5" max="5" width="17.8515625" style="0" customWidth="1"/>
    <col min="6" max="6" width="12.8515625" style="0" customWidth="1"/>
    <col min="8" max="8" width="9.8515625" style="0" customWidth="1"/>
    <col min="9" max="10" width="17.140625" style="0" customWidth="1"/>
    <col min="11" max="11" width="12.140625" style="0" customWidth="1"/>
    <col min="12" max="12" width="10.00390625" style="0" customWidth="1"/>
    <col min="14" max="14" width="11.00390625" style="0" customWidth="1"/>
    <col min="15" max="16" width="12.7109375" style="0" customWidth="1"/>
    <col min="17" max="17" width="12.00390625" style="0" customWidth="1"/>
    <col min="18" max="18" width="11.8515625" style="0" customWidth="1"/>
    <col min="19" max="19" width="13.140625" style="0" customWidth="1"/>
    <col min="20" max="20" width="12.57421875" style="0" customWidth="1"/>
    <col min="21" max="21" width="14.57421875" style="0" customWidth="1"/>
    <col min="22" max="22" width="11.00390625" style="0" customWidth="1"/>
    <col min="23" max="23" width="15.00390625" style="0" customWidth="1"/>
    <col min="24" max="24" width="10.7109375" style="0" customWidth="1"/>
    <col min="25" max="25" width="14.8515625" style="0" customWidth="1"/>
    <col min="26" max="26" width="14.7109375" style="0" customWidth="1"/>
    <col min="27" max="27" width="10.7109375" style="0" customWidth="1"/>
    <col min="29" max="29" width="12.140625" style="0" customWidth="1"/>
    <col min="30" max="30" width="11.7109375" style="0" customWidth="1"/>
    <col min="32" max="32" width="12.28125" style="0" customWidth="1"/>
    <col min="33" max="33" width="11.57421875" style="0" customWidth="1"/>
    <col min="34" max="34" width="12.421875" style="0" customWidth="1"/>
    <col min="41" max="41" width="13.00390625" style="0" customWidth="1"/>
    <col min="42" max="42" width="11.421875" style="0" customWidth="1"/>
    <col min="43" max="43" width="17.00390625" style="0" customWidth="1"/>
    <col min="44" max="45" width="12.00390625" style="0" customWidth="1"/>
    <col min="46" max="46" width="11.28125" style="0" customWidth="1"/>
  </cols>
  <sheetData>
    <row r="3" ht="12.75">
      <c r="A3" s="23" t="s">
        <v>51</v>
      </c>
    </row>
    <row r="4" spans="4:9" ht="78" customHeight="1">
      <c r="D4" s="30"/>
      <c r="I4" s="26" t="s">
        <v>77</v>
      </c>
    </row>
    <row r="5" spans="1:19" ht="45.75" customHeight="1">
      <c r="A5" s="5" t="s">
        <v>30</v>
      </c>
      <c r="B5" s="14"/>
      <c r="C5" s="17" t="s">
        <v>10</v>
      </c>
      <c r="D5" s="17" t="s">
        <v>9</v>
      </c>
      <c r="E5" s="17" t="s">
        <v>4</v>
      </c>
      <c r="F5" s="17" t="s">
        <v>5</v>
      </c>
      <c r="G5" s="17" t="s">
        <v>3</v>
      </c>
      <c r="H5" s="17" t="s">
        <v>0</v>
      </c>
      <c r="I5" s="17" t="s">
        <v>1</v>
      </c>
      <c r="J5" s="17" t="s">
        <v>78</v>
      </c>
      <c r="K5" s="17" t="s">
        <v>2</v>
      </c>
      <c r="L5" s="18" t="s">
        <v>6</v>
      </c>
      <c r="M5" s="18" t="s">
        <v>7</v>
      </c>
      <c r="N5" s="18" t="s">
        <v>8</v>
      </c>
      <c r="O5" s="1"/>
      <c r="P5" s="18" t="s">
        <v>79</v>
      </c>
      <c r="Q5" s="18" t="s">
        <v>24</v>
      </c>
      <c r="R5" s="18" t="s">
        <v>80</v>
      </c>
      <c r="S5" s="18" t="s">
        <v>25</v>
      </c>
    </row>
    <row r="6" spans="2:19" ht="12.75">
      <c r="B6" s="15"/>
      <c r="C6" s="3">
        <v>0.05</v>
      </c>
      <c r="D6">
        <f>180*ATAN((I14-I15)/(H14-H15))/PI()</f>
        <v>0</v>
      </c>
      <c r="E6">
        <f>PI()*MAX(I6:I16)^2</f>
        <v>13.331662584773646</v>
      </c>
      <c r="F6">
        <f>2*MAX(I6:I16)</f>
        <v>4.12</v>
      </c>
      <c r="G6" s="3">
        <v>0</v>
      </c>
      <c r="H6" s="3">
        <v>0</v>
      </c>
      <c r="I6" s="3">
        <v>0.05</v>
      </c>
      <c r="J6" s="3" t="b">
        <v>1</v>
      </c>
      <c r="K6">
        <f>PI()*I6^2/2</f>
        <v>0.003926990816987242</v>
      </c>
      <c r="L6">
        <f>IF(AND(I6&gt;0,J6=TRUE),0,9*PI()*I21^2*(SIN(I19))^4/(8*$E$6))</f>
        <v>0</v>
      </c>
      <c r="N6">
        <f>I21*(COS(I19)-1+((SIN(I19))^4-4*(COS(I19)*(SIN(I19))^4/5-COS(I19)*((SIN(I19))^2+2)/15+2/15))/(SIN(I19)^4))</f>
        <v>-0.019650166742217656</v>
      </c>
      <c r="O6">
        <f aca="true" t="shared" si="0" ref="O6:O16">L6*N6</f>
        <v>0</v>
      </c>
      <c r="P6">
        <f>IF(AND(I6&gt;0,J6=TRUE),-0.0054*0.85*(1+(C6^2+C6^4)/4)*(2*I6/F6),0)</f>
        <v>-0.00011147757091929611</v>
      </c>
      <c r="Q6" s="6">
        <f>IF((B26=1),L17+AA26,L17+AQ26+AA29)</f>
        <v>18.74975371415059</v>
      </c>
      <c r="R6" s="9">
        <f>P6+IF(B26=1,O17+AA26*AC26,O17+AA26*AC26+AA29*AC29+AO26*AC26+AP26*Z26)</f>
        <v>1486.5943724766828</v>
      </c>
      <c r="S6" s="2">
        <f>R6/Q6</f>
        <v>79.28607464079585</v>
      </c>
    </row>
    <row r="7" spans="7:15" ht="12.75">
      <c r="G7" s="3">
        <v>1</v>
      </c>
      <c r="H7" s="3">
        <v>2.5</v>
      </c>
      <c r="I7" s="3">
        <v>0.487</v>
      </c>
      <c r="J7" s="29"/>
      <c r="K7">
        <f aca="true" t="shared" si="1" ref="K7:K16">PI()*I7^2</f>
        <v>0.7450883880592376</v>
      </c>
      <c r="L7">
        <f aca="true" t="shared" si="2" ref="L7:L15">2*(K7-K6)/$E$6</f>
        <v>0.11118814214346309</v>
      </c>
      <c r="M7">
        <f aca="true" t="shared" si="3" ref="M7:M16">K7*(H7-H6)*(K6/K7+I6/I7+1)/3</f>
        <v>0.687927633325947</v>
      </c>
      <c r="N7">
        <f aca="true" t="shared" si="4" ref="N7:N16">IF((K6=K7),0,(H7*K7-H6*K6-M7)/(K7-K6))</f>
        <v>1.5850708647176925</v>
      </c>
      <c r="O7">
        <f t="shared" si="0"/>
        <v>0.17624108461369276</v>
      </c>
    </row>
    <row r="8" spans="3:15" ht="12.75">
      <c r="C8" t="s">
        <v>13</v>
      </c>
      <c r="G8" s="3">
        <v>2</v>
      </c>
      <c r="H8" s="3">
        <v>5</v>
      </c>
      <c r="I8" s="3">
        <v>0.907</v>
      </c>
      <c r="J8" s="29"/>
      <c r="K8">
        <f t="shared" si="1"/>
        <v>2.58442805488299</v>
      </c>
      <c r="L8">
        <f t="shared" si="2"/>
        <v>0.27593552643981534</v>
      </c>
      <c r="M8">
        <f t="shared" si="3"/>
        <v>3.9309884936389348</v>
      </c>
      <c r="N8">
        <f t="shared" si="4"/>
        <v>3.8755380200860823</v>
      </c>
      <c r="O8">
        <f t="shared" si="0"/>
        <v>1.0693986238099726</v>
      </c>
    </row>
    <row r="9" spans="3:15" ht="12.75">
      <c r="C9">
        <f>SQRT(1-C6^2)</f>
        <v>0.998749217771909</v>
      </c>
      <c r="G9" s="3">
        <v>3</v>
      </c>
      <c r="H9" s="3">
        <v>7.5</v>
      </c>
      <c r="I9" s="3">
        <v>1.261</v>
      </c>
      <c r="J9" s="29"/>
      <c r="K9">
        <f t="shared" si="1"/>
        <v>4.995512451918854</v>
      </c>
      <c r="L9">
        <f t="shared" si="2"/>
        <v>0.3617079837873501</v>
      </c>
      <c r="M9">
        <f t="shared" si="3"/>
        <v>9.310887373095115</v>
      </c>
      <c r="N9">
        <f t="shared" si="4"/>
        <v>6.318035055350553</v>
      </c>
      <c r="O9">
        <f t="shared" si="0"/>
        <v>2.285283721368647</v>
      </c>
    </row>
    <row r="10" spans="4:15" ht="71.25" customHeight="1">
      <c r="D10" s="27" t="s">
        <v>74</v>
      </c>
      <c r="E10" s="27" t="s">
        <v>75</v>
      </c>
      <c r="G10" s="3">
        <v>4</v>
      </c>
      <c r="H10" s="3">
        <v>10</v>
      </c>
      <c r="I10" s="3">
        <v>1.549</v>
      </c>
      <c r="J10" s="29"/>
      <c r="K10">
        <f t="shared" si="1"/>
        <v>7.537940554616002</v>
      </c>
      <c r="L10">
        <f t="shared" si="2"/>
        <v>0.38141200867188235</v>
      </c>
      <c r="M10">
        <f t="shared" si="3"/>
        <v>15.558242816060506</v>
      </c>
      <c r="N10">
        <f t="shared" si="4"/>
        <v>8.792704626334519</v>
      </c>
      <c r="O10">
        <f t="shared" si="0"/>
        <v>3.3536431331888017</v>
      </c>
    </row>
    <row r="11" spans="7:15" ht="12.75">
      <c r="G11" s="3">
        <v>5</v>
      </c>
      <c r="H11" s="3">
        <v>12.5</v>
      </c>
      <c r="I11" s="3">
        <v>1.773</v>
      </c>
      <c r="J11" s="29"/>
      <c r="K11">
        <f t="shared" si="1"/>
        <v>9.875687612746468</v>
      </c>
      <c r="L11">
        <f t="shared" si="2"/>
        <v>0.35070600433594123</v>
      </c>
      <c r="M11">
        <f t="shared" si="3"/>
        <v>21.70135497879204</v>
      </c>
      <c r="N11">
        <f t="shared" si="4"/>
        <v>11.278095524784268</v>
      </c>
      <c r="O11">
        <f t="shared" si="0"/>
        <v>3.955295818016151</v>
      </c>
    </row>
    <row r="12" spans="4:15" ht="127.5">
      <c r="D12" s="27" t="s">
        <v>76</v>
      </c>
      <c r="E12" s="31" t="s">
        <v>81</v>
      </c>
      <c r="G12" s="3">
        <v>6</v>
      </c>
      <c r="H12" s="3">
        <v>15</v>
      </c>
      <c r="I12" s="3">
        <v>1.932</v>
      </c>
      <c r="J12" s="29"/>
      <c r="K12">
        <f t="shared" si="1"/>
        <v>11.726384137012948</v>
      </c>
      <c r="L12">
        <f t="shared" si="2"/>
        <v>0.27763926854557464</v>
      </c>
      <c r="M12">
        <f t="shared" si="3"/>
        <v>26.96949693558452</v>
      </c>
      <c r="N12">
        <f t="shared" si="4"/>
        <v>13.767881241565444</v>
      </c>
      <c r="O12">
        <f t="shared" si="0"/>
        <v>3.822504477330568</v>
      </c>
    </row>
    <row r="13" spans="7:10" ht="12.75">
      <c r="G13" s="3">
        <v>7</v>
      </c>
      <c r="H13" s="3">
        <v>17.5</v>
      </c>
      <c r="I13" s="3">
        <v>2.028</v>
      </c>
      <c r="J13" s="29"/>
    </row>
    <row r="14" spans="7:15" ht="12.75">
      <c r="G14" s="3">
        <v>8</v>
      </c>
      <c r="H14" s="3">
        <v>20</v>
      </c>
      <c r="I14" s="3">
        <v>2.06</v>
      </c>
      <c r="J14" s="29"/>
      <c r="K14">
        <f t="shared" si="1"/>
        <v>13.331662584773646</v>
      </c>
      <c r="L14">
        <f>2*(K14-K12)/$E$6</f>
        <v>0.24082194363276463</v>
      </c>
      <c r="M14">
        <f>K14*(H14-H12)*(K12/K14+I12/I14+1)/3</f>
        <v>62.602223592769484</v>
      </c>
      <c r="N14">
        <f>IF((K12=K14),0,(H14*K14-H12*K12-M14)/(K14-K12))</f>
        <v>17.526720106880443</v>
      </c>
      <c r="O14">
        <f t="shared" si="0"/>
        <v>4.220818801646405</v>
      </c>
    </row>
    <row r="15" spans="7:15" ht="12.75">
      <c r="G15" s="3">
        <v>9</v>
      </c>
      <c r="H15" s="3">
        <v>86</v>
      </c>
      <c r="I15" s="3">
        <v>2.06</v>
      </c>
      <c r="J15" s="29"/>
      <c r="K15">
        <f t="shared" si="1"/>
        <v>13.331662584773646</v>
      </c>
      <c r="L15">
        <f t="shared" si="2"/>
        <v>0</v>
      </c>
      <c r="M15">
        <f t="shared" si="3"/>
        <v>879.8897305950608</v>
      </c>
      <c r="N15">
        <f t="shared" si="4"/>
        <v>0</v>
      </c>
      <c r="O15">
        <f t="shared" si="0"/>
        <v>0</v>
      </c>
    </row>
    <row r="16" spans="7:15" ht="12.75">
      <c r="G16" s="3">
        <v>10</v>
      </c>
      <c r="H16" s="28">
        <f>D26+G26</f>
        <v>93.16</v>
      </c>
      <c r="I16" s="3">
        <v>2.06</v>
      </c>
      <c r="J16" s="29"/>
      <c r="K16">
        <f t="shared" si="1"/>
        <v>13.331662584773646</v>
      </c>
      <c r="L16">
        <v>0</v>
      </c>
      <c r="M16">
        <f t="shared" si="3"/>
        <v>95.45470410697926</v>
      </c>
      <c r="N16">
        <f t="shared" si="4"/>
        <v>0</v>
      </c>
      <c r="O16">
        <f t="shared" si="0"/>
        <v>0</v>
      </c>
    </row>
    <row r="17" spans="10:15" ht="12.75">
      <c r="J17" s="29"/>
      <c r="L17">
        <f>SUM(L6:L16)</f>
        <v>1.9994108775567914</v>
      </c>
      <c r="O17">
        <f>SUM(O6:O16)</f>
        <v>18.883185659974238</v>
      </c>
    </row>
    <row r="18" spans="4:21" ht="12.75">
      <c r="D18" s="4" t="s">
        <v>48</v>
      </c>
      <c r="I18" s="7" t="s">
        <v>26</v>
      </c>
      <c r="J18" s="29"/>
      <c r="S18" s="21"/>
      <c r="T18" s="21"/>
      <c r="U18" s="21"/>
    </row>
    <row r="19" spans="4:9" ht="12.75">
      <c r="D19" t="s">
        <v>49</v>
      </c>
      <c r="E19" s="3"/>
      <c r="I19">
        <f>PI()/2-ATAN((I7-I6)/(H7-H6))</f>
        <v>1.3977447239347354</v>
      </c>
    </row>
    <row r="20" spans="4:10" ht="12.75">
      <c r="D20" t="s">
        <v>50</v>
      </c>
      <c r="E20" s="2"/>
      <c r="I20" s="7" t="s">
        <v>27</v>
      </c>
      <c r="J20" s="29"/>
    </row>
    <row r="21" ht="12.75">
      <c r="I21">
        <f>I6/SIN(I19)</f>
        <v>0.05075812841309262</v>
      </c>
    </row>
    <row r="22" ht="12.75">
      <c r="B22" s="12"/>
    </row>
    <row r="23" ht="12.75">
      <c r="B23" s="13"/>
    </row>
    <row r="25" spans="1:46" ht="64.5" customHeight="1">
      <c r="A25" s="8" t="s">
        <v>68</v>
      </c>
      <c r="B25" s="18" t="s">
        <v>33</v>
      </c>
      <c r="C25" s="17" t="s">
        <v>19</v>
      </c>
      <c r="D25" s="17" t="s">
        <v>16</v>
      </c>
      <c r="E25" s="17" t="s">
        <v>17</v>
      </c>
      <c r="F25" s="17" t="s">
        <v>11</v>
      </c>
      <c r="G25" s="17" t="s">
        <v>12</v>
      </c>
      <c r="H25" s="17" t="s">
        <v>14</v>
      </c>
      <c r="I25" s="17" t="s">
        <v>20</v>
      </c>
      <c r="J25" s="17"/>
      <c r="K25" s="17" t="s">
        <v>28</v>
      </c>
      <c r="L25" s="17" t="s">
        <v>23</v>
      </c>
      <c r="M25" s="17" t="s">
        <v>15</v>
      </c>
      <c r="N25" s="17" t="s">
        <v>18</v>
      </c>
      <c r="O25" s="17" t="s">
        <v>52</v>
      </c>
      <c r="P25" s="17"/>
      <c r="Q25" s="17" t="s">
        <v>21</v>
      </c>
      <c r="R25" s="17" t="s">
        <v>22</v>
      </c>
      <c r="S25" s="17" t="s">
        <v>53</v>
      </c>
      <c r="T25" s="17" t="s">
        <v>31</v>
      </c>
      <c r="U25" s="17" t="s">
        <v>70</v>
      </c>
      <c r="V25" s="17" t="s">
        <v>62</v>
      </c>
      <c r="W25" s="17" t="s">
        <v>55</v>
      </c>
      <c r="X25" s="17" t="s">
        <v>54</v>
      </c>
      <c r="Y25" s="17" t="s">
        <v>59</v>
      </c>
      <c r="Z25" s="17" t="s">
        <v>63</v>
      </c>
      <c r="AA25" s="17" t="s">
        <v>38</v>
      </c>
      <c r="AC25" s="17" t="s">
        <v>72</v>
      </c>
      <c r="AF25" s="17" t="s">
        <v>34</v>
      </c>
      <c r="AG25" s="17" t="s">
        <v>36</v>
      </c>
      <c r="AH25" s="17" t="s">
        <v>45</v>
      </c>
      <c r="AI25" s="17" t="s">
        <v>44</v>
      </c>
      <c r="AJ25" s="17" t="s">
        <v>43</v>
      </c>
      <c r="AK25" s="17" t="s">
        <v>37</v>
      </c>
      <c r="AL25" s="17" t="s">
        <v>40</v>
      </c>
      <c r="AM25" s="19" t="s">
        <v>41</v>
      </c>
      <c r="AN25" s="17" t="s">
        <v>42</v>
      </c>
      <c r="AO25" s="17" t="s">
        <v>46</v>
      </c>
      <c r="AP25" s="17" t="s">
        <v>47</v>
      </c>
      <c r="AQ25" s="25" t="s">
        <v>69</v>
      </c>
      <c r="AR25" s="17" t="s">
        <v>57</v>
      </c>
      <c r="AS25" s="17" t="s">
        <v>61</v>
      </c>
      <c r="AT25" s="17" t="s">
        <v>39</v>
      </c>
    </row>
    <row r="26" spans="2:46" ht="12.75">
      <c r="B26" s="3">
        <v>1</v>
      </c>
      <c r="C26" s="3">
        <v>6</v>
      </c>
      <c r="D26" s="3">
        <v>90.16</v>
      </c>
      <c r="E26" s="3">
        <v>83.16</v>
      </c>
      <c r="F26" s="3">
        <v>10</v>
      </c>
      <c r="G26" s="3">
        <v>3</v>
      </c>
      <c r="H26" s="3">
        <v>4</v>
      </c>
      <c r="I26">
        <f>TAN(D6*PI()/180)</f>
        <v>0</v>
      </c>
      <c r="K26">
        <f>I26*F26^2/2+(F26+G26)*(H26-F26*I26)/2</f>
        <v>26</v>
      </c>
      <c r="L26">
        <f>H26-3*F26*I26/4</f>
        <v>4</v>
      </c>
      <c r="M26">
        <f>2*L26^2/K26</f>
        <v>1.2307692307692308</v>
      </c>
      <c r="N26">
        <f>ATAN((D26+G26/4-E26-F26/4)/H26)</f>
        <v>0.9197196053504169</v>
      </c>
      <c r="O26">
        <f>M26*SQRT(1-(C6*COS(N26))^2)/COS(N26)</f>
        <v>2.029894916684375</v>
      </c>
      <c r="Q26" s="3">
        <v>2.06</v>
      </c>
      <c r="R26" s="20">
        <f>Q26+H26</f>
        <v>6.0600000000000005</v>
      </c>
      <c r="S26" s="2">
        <f>2*PI()*O26*COS(N26)/(SQRT(1-(C6*COS(N26))^2)*(O26*SQRT(1+4/O26^2)+2))</f>
        <v>1.5945810585125035</v>
      </c>
      <c r="T26">
        <f>2*(F26+G26-F26*G26/(F26+G26))/3</f>
        <v>7.128205128205129</v>
      </c>
      <c r="U26">
        <f>(C26/2)*(K26/E6)*S26</f>
        <v>9.329468231968987</v>
      </c>
      <c r="V26" s="2">
        <f>E26+T26/4+(F26+2*G26)*(D26-E26)/(3*(F26+G26))</f>
        <v>87.81384615384616</v>
      </c>
      <c r="W26" s="2">
        <f>2*((1+(Q26/R26)^4)*(ATAN((R26/Q26-Q26/R26)/2)/2+PI()/4)-((Q26/R26)^2)*((R26/Q26-Q26/R26)+2*ATAN(Q26/R26)))/(PI()*(1-Q26/R26)^2)</f>
        <v>1.2907140312832592</v>
      </c>
      <c r="X26">
        <f>U26*W26</f>
        <v>12.041675551413793</v>
      </c>
      <c r="Y26" s="2">
        <f>(((1-(Q26/R26)^2)^2)-(2/PI())*((1+(Q26/R26)^4)*(ATAN((R26/Q26-Q26/R26)/2)/2+PI()/4)-((Q26/R26)^2)*(R26/Q26-Q26/R26+2*ATAN(Q26/R26))))/(1-Q26/R26)^2</f>
        <v>0.5047090753838432</v>
      </c>
      <c r="Z26" s="2">
        <f>E26+F26/4+(R26-Q26)*TAN(N26)*((Q26/(Q26-R26))+(SQRT(R26*(R26-2*Q26))*ACOSH((R26-Q26)/Q26)-R26+Q26+PI()*Q26/2)/(((R26-Q26)*Q26/SQRT(R26*(R26-2*Q26)))*ACOSH((R26-Q26)/Q26)+(R26-Q26)^2/Q26-PI()*(R26-Q26)/2))</f>
        <v>87.1340931815728</v>
      </c>
      <c r="AA26" s="2">
        <f>X26+U26*Y26</f>
        <v>16.7503428365938</v>
      </c>
      <c r="AB26">
        <f>V26*X26+U26*Y26*Z26</f>
        <v>1467.7112982942795</v>
      </c>
      <c r="AC26" s="2">
        <f>AB26/AA26</f>
        <v>87.62276167194798</v>
      </c>
      <c r="AF26">
        <f>SQRT(AD29^2+Q26^2-Q29^2)</f>
        <v>6.566837713810526</v>
      </c>
      <c r="AG26">
        <f>Q26^2/AF26</f>
        <v>0.6462166700229866</v>
      </c>
      <c r="AH26">
        <f>S29*W29*C29/(16*PI()*(AD29-Q29)*H26)</f>
        <v>0.011582111781514578</v>
      </c>
      <c r="AI26">
        <f>F26*R26-G26*Q26</f>
        <v>54.42000000000001</v>
      </c>
      <c r="AJ26">
        <f>F26-G26</f>
        <v>7</v>
      </c>
      <c r="AK26" t="e">
        <f>AI26*LN((R26-AF26)/(AF26-Q26))-AJ26*(H26+AF26*LN((R26-AF26)/(AF26-Q26)))</f>
        <v>#NUM!</v>
      </c>
      <c r="AL26">
        <f>-(AI26+AF26*AJ26)*LN((R26+AF26)/(AF26+Q26))-AJ26*H26</f>
        <v>-66.24240719570614</v>
      </c>
      <c r="AM26">
        <f>-(AI26-AJ26*AG26)*LN((R26-AG26)/(Q26-AG26))-AJ26*H26</f>
        <v>-94.99495264580423</v>
      </c>
      <c r="AN26">
        <f>(AI26+AJ26*AG26)*LN((R26+AG26)/(Q26+AG26))-AJ26*H26</f>
        <v>25.490260613413653</v>
      </c>
      <c r="AO26" s="2" t="e">
        <f>IF(B26=1,AH26*(AK26+AL26+AM26+AN26),IF((H26+Q26)&gt;(H29+Q29),AH26*(AK26+AL26+AM26+AN26),-AF29*AA26))</f>
        <v>#NUM!</v>
      </c>
      <c r="AP26" s="2">
        <f>-4*AE29*((AD29^2-Q29^2)/AD29-AF26+Q26^2/AF26)/E6</f>
        <v>-0.5534068225892551</v>
      </c>
      <c r="AQ26" s="2" t="e">
        <f>AA26+AO26+AP26</f>
        <v>#NUM!</v>
      </c>
      <c r="AR26" s="2">
        <f>(PI()^2*(R26/Q26+1)^2/(4*(R26/Q26)^2)+PI()*((R26/Q26)^2+1)^2/((R26/Q26)^2*(R26/Q26-1)^2)*ASIN(((R26/Q26)^2-1)/((R26/Q26)^2+1))-2*PI()*(R26/Q26+1)/((R26/Q26)*(R26/Q26-1))+((R26/Q26)^2+1)^2/((R26/Q26)^2*(R26/Q26-1)^2)*(ASIN(((R26/Q26)^2-1)/((R26/Q26)^2+1)))^2-(4*(R26/Q26+1)/((R26/Q26)*(R26/Q26-1)))*ASIN(((R26/Q26)^2-1)/((R26/Q26)^2+1))+(8/(R26/Q26-1)^2)*LN(((R26/Q26)^2+1)/(2*R26/Q26)))/PI()^2</f>
        <v>0.9348262836649723</v>
      </c>
      <c r="AS26" s="2">
        <f>W26-AR26</f>
        <v>0.3558877476182869</v>
      </c>
      <c r="AT26" s="2">
        <f>(AR26+AS26)*S26*(K26/E6)</f>
        <v>4.013891850471264</v>
      </c>
    </row>
    <row r="28" spans="1:46" ht="66" customHeight="1">
      <c r="A28" s="10" t="s">
        <v>29</v>
      </c>
      <c r="B28" s="11"/>
      <c r="C28" s="17" t="s">
        <v>19</v>
      </c>
      <c r="D28" s="17" t="s">
        <v>16</v>
      </c>
      <c r="E28" s="17" t="s">
        <v>17</v>
      </c>
      <c r="F28" s="17" t="s">
        <v>11</v>
      </c>
      <c r="G28" s="17" t="s">
        <v>12</v>
      </c>
      <c r="H28" s="17" t="s">
        <v>14</v>
      </c>
      <c r="I28" s="17" t="s">
        <v>20</v>
      </c>
      <c r="J28" s="17"/>
      <c r="K28" s="17" t="s">
        <v>28</v>
      </c>
      <c r="L28" s="17" t="s">
        <v>23</v>
      </c>
      <c r="M28" s="17" t="s">
        <v>15</v>
      </c>
      <c r="N28" s="17" t="s">
        <v>18</v>
      </c>
      <c r="O28" s="17" t="s">
        <v>52</v>
      </c>
      <c r="P28" s="17"/>
      <c r="Q28" s="17" t="s">
        <v>21</v>
      </c>
      <c r="R28" s="17" t="s">
        <v>22</v>
      </c>
      <c r="S28" s="17" t="s">
        <v>64</v>
      </c>
      <c r="T28" s="17" t="s">
        <v>31</v>
      </c>
      <c r="U28" s="22" t="s">
        <v>71</v>
      </c>
      <c r="V28" s="17" t="s">
        <v>62</v>
      </c>
      <c r="W28" s="17" t="s">
        <v>56</v>
      </c>
      <c r="X28" s="17" t="s">
        <v>32</v>
      </c>
      <c r="Y28" s="17" t="s">
        <v>60</v>
      </c>
      <c r="Z28" s="17" t="s">
        <v>63</v>
      </c>
      <c r="AA28" s="17" t="s">
        <v>38</v>
      </c>
      <c r="AC28" s="17" t="s">
        <v>73</v>
      </c>
      <c r="AD28" s="17" t="s">
        <v>35</v>
      </c>
      <c r="AE28" s="17" t="s">
        <v>67</v>
      </c>
      <c r="AF28" s="18" t="s">
        <v>65</v>
      </c>
      <c r="AG28" s="24"/>
      <c r="AJ28" s="16"/>
      <c r="AR28" s="17" t="s">
        <v>58</v>
      </c>
      <c r="AS28" s="17" t="s">
        <v>61</v>
      </c>
      <c r="AT28" s="17" t="s">
        <v>39</v>
      </c>
    </row>
    <row r="29" spans="3:46" ht="12.75">
      <c r="C29" s="3">
        <v>4</v>
      </c>
      <c r="D29" s="3">
        <v>88</v>
      </c>
      <c r="E29" s="3">
        <v>80</v>
      </c>
      <c r="F29" s="3">
        <v>12</v>
      </c>
      <c r="G29" s="3">
        <v>4</v>
      </c>
      <c r="H29" s="3">
        <v>6</v>
      </c>
      <c r="I29">
        <f>(I10-I11)/(H11-H10)</f>
        <v>-0.08959999999999999</v>
      </c>
      <c r="K29">
        <f>I29*F29^2/2+(F29+G29)*(H29-F29*I29)/2</f>
        <v>50.1504</v>
      </c>
      <c r="L29">
        <f>H29-3*F29*I29/4</f>
        <v>6.8064</v>
      </c>
      <c r="M29">
        <f>2*L29^2/K29</f>
        <v>1.847525880551302</v>
      </c>
      <c r="N29">
        <f>ATAN((D29+G29/4-E29-F29/4)/H29)</f>
        <v>0.7853981633974483</v>
      </c>
      <c r="O29">
        <f>M29*SQRT(1-(C6*COS(N29))^2)/COS(N29)</f>
        <v>2.611162648881808</v>
      </c>
      <c r="Q29" s="3">
        <v>2</v>
      </c>
      <c r="R29">
        <f>Q29+H29</f>
        <v>8</v>
      </c>
      <c r="S29" s="2">
        <f>2*PI()*O29*COS(N29)/(SQRT(1-(C6*COS(N29))^2)*(O29*SQRT(1+4/O29^2)+2))</f>
        <v>2.194768539124708</v>
      </c>
      <c r="T29">
        <f>2*(F29+G29-F29*G29/(F29+G29))/3</f>
        <v>8.666666666666666</v>
      </c>
      <c r="U29">
        <f>(C29/2)*(K29/E6)*S29</f>
        <v>16.512347120190572</v>
      </c>
      <c r="V29" s="2">
        <f>E29+T29/4+(F29+2*G29)*(D29-E29)/(3*(F29+G29))</f>
        <v>85.5</v>
      </c>
      <c r="W29" s="2">
        <f>2*((1+(Q29/R29)^4)*(ATAN((R29/Q29-Q29/R29)/2)/2+PI()/4)-((Q29/R29)^2)*((R29/Q29-Q29/R29)+2*ATAN(Q29/R29)))/(PI()*(1-Q29/R29)^2)</f>
        <v>1.2064644187487892</v>
      </c>
      <c r="X29">
        <f>U29*W29</f>
        <v>19.92155927053896</v>
      </c>
      <c r="Y29" s="2">
        <f>(((1-(Q29/R29)^2)^2)-(2/PI())*((1+(Q29/R29)^4)*(ATAN(((R29/Q29)-Q29/R29)/2)/2+PI()/4)-((Q29/R29)^2)*(R29/Q29-Q29/R29+2*ATAN(Q29/R29))))/(1-Q29/R29)^2</f>
        <v>0.35603558125121065</v>
      </c>
      <c r="Z29" s="2">
        <f>E29+F29/4+(R29-Q29)*TAN(N29)*((Q29/(Q29-R29))+(SQRT(R29*(R29-2*Q29))*ACOSH((R29-Q29)/Q29)-R29+Q29+PI()*Q29/2)/(((R29-Q29)*Q29/SQRT(R29*(R29-2*Q29)))*ACOSH((R29-Q29)/Q29)+(R29-Q29)^2/Q29-PI()*(R29-Q29)/2))</f>
        <v>84.4657456097904</v>
      </c>
      <c r="AA29" s="2">
        <f>X29+U29*Y29</f>
        <v>25.800542375297766</v>
      </c>
      <c r="AB29">
        <f>V29*X29+U29*Y29*Z29</f>
        <v>2199.8660090018943</v>
      </c>
      <c r="AC29" s="2">
        <f>AB29/AA29</f>
        <v>85.26433192769288</v>
      </c>
      <c r="AD29">
        <f>Q29+H29*(((PI()/4-PI()*(Q29/(Q29+H29))^2/4-(Q29/(H29+Q29)))+((1+(Q29/(H29+Q29))^2)^2/(2*(1-(Q29/(H29+Q29))^2)))*(ASIN((1-(Q29/(H29+Q29))^2)/(1+(Q29/(H29+Q29))^2))))/(2*(1-(Q29/(H29+Q29)))))</f>
        <v>6.548263705710411</v>
      </c>
      <c r="AE29">
        <f>W29*U29*K29/(2*(AD29-Q29))</f>
        <v>109.83028147498186</v>
      </c>
      <c r="AF29">
        <f>2*S29/(M29*PI())</f>
        <v>0.7562725169295956</v>
      </c>
      <c r="AR29" s="2">
        <f>(PI()^2*(R29/Q29+1)^2/(4*(R29/Q29)^2)+PI()*((R29/Q29)^2+1)^2/((R29/Q29)^2*(R29/Q29-1)^2)*ASIN(((R29/Q29)^2-1)/((R29/Q29)^2+1))-2*PI()*(R29/Q29+1)/((R29/Q29)*(R29/Q29-1))+((R29/Q29)^2+1)^2/((R29/Q29)^2*(R29/Q29-1)^2)*(ASIN(((R29/Q29)^2-1)/((R29/Q29)^2+1)))^2-(4*(R29/Q29+1)/((R29/Q29)*(R29/Q29-1)))*ASIN(((R29/Q29)^2-1)/((R29/Q29)^2+1))+(8/(R29/Q29-1)^2)*LN(((R29/Q29)^2+1)/(2*R29/Q29)))/PI()^2</f>
        <v>0.93875817784303</v>
      </c>
      <c r="AS29" s="2">
        <f>W29-AR29</f>
        <v>0.26770624090575923</v>
      </c>
      <c r="AT29" s="2">
        <f>(AR29+AS29)*S29*K29/E6</f>
        <v>9.960779635269478</v>
      </c>
    </row>
    <row r="32" ht="12.75">
      <c r="S32" t="s">
        <v>66</v>
      </c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Charles</cp:lastModifiedBy>
  <dcterms:created xsi:type="dcterms:W3CDTF">2008-11-01T22:14:49Z</dcterms:created>
  <dcterms:modified xsi:type="dcterms:W3CDTF">2016-04-24T22:00:29Z</dcterms:modified>
  <cp:category/>
  <cp:version/>
  <cp:contentType/>
  <cp:contentStatus/>
</cp:coreProperties>
</file>